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<sst xmlns="http://schemas.openxmlformats.org/spreadsheetml/2006/main" count="194" uniqueCount="192">
  <si>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</si>
  <si>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</si>
  <si>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</si>
  <si>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</si>
  <si>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</si>
  <si>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</si>
  <si>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</si>
  <si>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</si>
  <si>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</si>
  <si>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</si>
  <si>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</si>
  <si>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</si>
  <si>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</si>
  <si>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</si>
  <si>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</si>
  <si>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</si>
  <si>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</si>
  <si>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</si>
  <si>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</si>
  <si>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</si>
  <si>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</si>
  <si>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</si>
  <si>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</si>
  <si>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</si>
  <si>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</si>
  <si>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</si>
  <si>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</si>
  <si>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</si>
  <si>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</si>
  <si>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</si>
  <si>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</si>
  <si>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</si>
  <si>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</si>
  <si>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</si>
  <si>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</si>
  <si>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</si>
  <si>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</si>
  <si>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</si>
  <si>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</si>
  <si>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</si>
  <si>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</si>
  <si>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</si>
  <si>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</si>
  <si>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</si>
  <si>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</si>
  <si>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</si>
  <si>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</si>
  <si>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</si>
  <si>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</si>
  <si>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</si>
  <si>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</si>
  <si>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</si>
  <si>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</si>
  <si>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</si>
  <si>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</si>
  <si>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</si>
  <si>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</si>
  <si>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</si>
  <si>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</si>
  <si>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</si>
  <si>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</si>
  <si>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</si>
  <si>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</si>
  <si>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</si>
  <si>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</si>
  <si>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</si>
  <si>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</si>
  <si>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</si>
  <si>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</si>
  <si>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</si>
  <si>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</si>
  <si>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</si>
  <si>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</si>
  <si>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</si>
  <si>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</si>
  <si>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</si>
  <si>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</si>
  <si>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</si>
  <si>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</si>
  <si>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</si>
  <si>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</si>
  <si>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</si>
  <si>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</si>
  <si>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</si>
  <si>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</si>
  <si>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</si>
  <si>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</si>
  <si>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</si>
  <si>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</si>
  <si>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</si>
  <si>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</si>
  <si>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</si>
  <si>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</si>
  <si>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</si>
  <si>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</si>
  <si>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</si>
  <si>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</si>
  <si>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</si>
  <si>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</si>
  <si>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</si>
  <si>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</si>
  <si>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</si>
  <si>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</si>
  <si>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</si>
  <si>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</si>
  <si>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</si>
  <si>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</si>
  <si>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</si>
  <si>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</si>
  <si>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</si>
  <si>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</si>
  <si>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</si>
  <si>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</si>
  <si>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</si>
  <si>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</si>
  <si>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</si>
  <si>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</si>
  <si>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</si>
  <si>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</si>
  <si>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</si>
  <si>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</si>
  <si>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</si>
  <si>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</si>
  <si>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</si>
  <si>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</si>
  <si>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</si>
  <si>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</si>
  <si>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</si>
  <si>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</si>
  <si>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</si>
  <si>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</si>
  <si>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</si>
  <si>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</si>
  <si>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</si>
  <si>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</si>
  <si>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</si>
  <si>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</si>
  <si>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</si>
  <si>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</si>
  <si>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</si>
  <si>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</si>
  <si>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</si>
  <si>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</si>
  <si>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</si>
  <si>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</si>
  <si>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</si>
  <si>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</si>
  <si>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</si>
  <si>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</si>
  <si>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</si>
  <si>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</si>
  <si>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</si>
  <si>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</si>
  <si>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</si>
  <si>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</si>
  <si>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</si>
  <si>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</si>
  <si>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</si>
  <si>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</si>
  <si>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</si>
  <si>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</si>
  <si>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</si>
  <si>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</si>
  <si>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</si>
  <si>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</si>
  <si>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</si>
  <si>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</si>
  <si>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</si>
  <si>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</si>
  <si>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</si>
  <si>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</si>
  <si>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</si>
  <si>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</si>
  <si>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</si>
  <si>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</si>
  <si>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</si>
  <si>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</si>
  <si>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</si>
  <si>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</si>
  <si>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</si>
  <si>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</si>
  <si>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</si>
  <si>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</si>
  <si>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</si>
  <si>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</si>
  <si>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</si>
  <si>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</si>
  <si>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</si>
  <si>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</si>
  <si>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Відсоток виконання до плану 5 місяців</t>
  </si>
  <si>
    <t>Залишок призначень до плану 5 місяців</t>
  </si>
  <si>
    <t>Профінансовано станом на 15.05.17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</si>
</sst>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4" fillId="0" borderId="10" xfId="84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5" sqref="H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0" width="0" style="6" hidden="1" customWidth="1"/>
    <col min="31" max="16384" width="9.33203125" style="6" customWidth="1"/>
  </cols>
  <sheetData>
    <row r="2" spans="1:7" ht="21" customHeight="1">
      <c r="A2" s="80" t="s">
        <v>8</v>
      </c>
      <c r="B2" s="80"/>
      <c r="C2" s="80"/>
      <c r="D2" s="80"/>
      <c r="E2" s="80"/>
      <c r="F2" s="80"/>
      <c r="G2" s="80"/>
    </row>
    <row r="3" spans="1:7" ht="20.25" customHeight="1">
      <c r="A3" s="81" t="s">
        <v>23</v>
      </c>
      <c r="B3" s="81"/>
      <c r="C3" s="81"/>
      <c r="D3" s="81"/>
      <c r="E3" s="81"/>
      <c r="F3" s="81"/>
      <c r="G3" s="81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2" t="s">
        <v>5</v>
      </c>
      <c r="B5" s="11"/>
      <c r="C5" s="82" t="s">
        <v>10</v>
      </c>
      <c r="D5" s="78" t="s">
        <v>11</v>
      </c>
      <c r="E5" s="78" t="s">
        <v>0</v>
      </c>
      <c r="F5" s="78" t="s">
        <v>1</v>
      </c>
      <c r="G5" s="13" t="s">
        <v>2</v>
      </c>
      <c r="H5" s="78" t="s">
        <v>191</v>
      </c>
      <c r="I5" s="84" t="s">
        <v>22</v>
      </c>
      <c r="J5" s="84" t="s">
        <v>189</v>
      </c>
    </row>
    <row r="6" spans="1:25" ht="35.25" customHeight="1">
      <c r="A6" s="83"/>
      <c r="B6" s="14" t="s">
        <v>6</v>
      </c>
      <c r="C6" s="83"/>
      <c r="D6" s="79"/>
      <c r="E6" s="79"/>
      <c r="F6" s="79"/>
      <c r="G6" s="12" t="s">
        <v>4</v>
      </c>
      <c r="H6" s="79"/>
      <c r="I6" s="85"/>
      <c r="J6" s="85"/>
      <c r="L6" s="90" t="s">
        <v>190</v>
      </c>
      <c r="M6" s="84" t="s">
        <v>28</v>
      </c>
      <c r="N6" s="92" t="s">
        <v>29</v>
      </c>
      <c r="O6" s="84" t="s">
        <v>30</v>
      </c>
      <c r="P6" s="84" t="s">
        <v>31</v>
      </c>
      <c r="Q6" s="84" t="s">
        <v>32</v>
      </c>
      <c r="R6" s="84" t="s">
        <v>33</v>
      </c>
      <c r="S6" s="84" t="s">
        <v>34</v>
      </c>
      <c r="T6" s="84" t="s">
        <v>35</v>
      </c>
      <c r="U6" s="84" t="s">
        <v>36</v>
      </c>
      <c r="V6" s="84" t="s">
        <v>37</v>
      </c>
      <c r="W6" s="84" t="s">
        <v>38</v>
      </c>
      <c r="X6" s="84" t="s">
        <v>39</v>
      </c>
      <c r="Y6" s="8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1"/>
      <c r="M7" s="85"/>
      <c r="N7" s="93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86" t="s">
        <v>24</v>
      </c>
      <c r="B8" s="87"/>
      <c r="C8" s="87"/>
      <c r="D8" s="87"/>
      <c r="E8" s="87"/>
      <c r="F8" s="87"/>
      <c r="G8" s="87"/>
      <c r="H8" s="87"/>
      <c r="I8" s="87"/>
      <c r="J8" s="88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32544461.739999995</v>
      </c>
      <c r="I9" s="40">
        <f aca="true" t="shared" si="0" ref="I9:I25">H9/D9*100</f>
        <v>21.709604670065684</v>
      </c>
      <c r="J9" s="46">
        <f>H9/(M9+N9+O9+N26+O26+P9+P26+Q9)*100</f>
        <v>66.09337640466649</v>
      </c>
      <c r="K9" s="37"/>
      <c r="L9" s="73">
        <f>H10-(M9+N9+O9+P9)</f>
        <v>-377224.8100000024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7450000</v>
      </c>
      <c r="R9" s="47">
        <f t="shared" si="1"/>
        <v>8656500</v>
      </c>
      <c r="S9" s="47">
        <f t="shared" si="1"/>
        <v>4354600</v>
      </c>
      <c r="T9" s="47">
        <f t="shared" si="1"/>
        <v>4974895.12</v>
      </c>
      <c r="U9" s="47">
        <f t="shared" si="1"/>
        <v>4495700</v>
      </c>
      <c r="V9" s="47">
        <f t="shared" si="1"/>
        <v>6329500</v>
      </c>
      <c r="W9" s="47">
        <f t="shared" si="1"/>
        <v>4112000</v>
      </c>
      <c r="X9" s="47">
        <f t="shared" si="1"/>
        <v>8608839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14379741.069999997</v>
      </c>
      <c r="I10" s="41">
        <f t="shared" si="0"/>
        <v>22.56034934655391</v>
      </c>
      <c r="J10" s="48">
        <f>H10/(M9+N9+O9+P9)*100</f>
        <v>97.44375088302364</v>
      </c>
      <c r="L10" s="73">
        <f>(H11+H13+H14+H15+H16+H17)-(M10+N10+O10+P10+Q10)</f>
        <v>-6243118.890000001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</f>
        <v>6200000</v>
      </c>
      <c r="R10" s="24">
        <f>6870000+210000+120000-143500</f>
        <v>7056500</v>
      </c>
      <c r="S10" s="24">
        <f>2350000+153400</f>
        <v>2503400</v>
      </c>
      <c r="T10" s="24">
        <f>2350000+281395.12+300000+268808+143500</f>
        <v>3343703.12</v>
      </c>
      <c r="U10" s="24">
        <f>2350000+408828+545700</f>
        <v>3304528</v>
      </c>
      <c r="V10" s="24">
        <f>2350000+500000+533039+1073600+1005900</f>
        <v>5462539</v>
      </c>
      <c r="W10" s="24">
        <f>1900000+608828+700000+112000+300000</f>
        <v>3620828</v>
      </c>
      <c r="X10" s="24">
        <f>4750000+100000+85000+260285+2047400+307400+240000+424039</f>
        <v>8214124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3">
        <f t="shared" si="0"/>
        <v>15.80317859871085</v>
      </c>
      <c r="J11" s="75">
        <f>(H11+H13+H14+H15+H16+H17)/(M10+N10+O10+P10+Q10)*100</f>
        <v>61.40786151756154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6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6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2">
        <f t="shared" si="0"/>
        <v>21.522804753017148</v>
      </c>
      <c r="J14" s="76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76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6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77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4445682.079999999</v>
      </c>
      <c r="I18" s="42">
        <f t="shared" si="0"/>
        <v>31.627908538580833</v>
      </c>
      <c r="J18" s="75">
        <f>H18/(M18+N18+O18+P18+Q18)*100</f>
        <v>73.72866309727637</v>
      </c>
      <c r="L18" s="73">
        <f>H18-(M18+N18+O18+P18+Q18)</f>
        <v>-1584105.9200000009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</f>
        <v>1782160.8399999999</v>
      </c>
      <c r="I19" s="42">
        <f t="shared" si="0"/>
        <v>53.67087843649338</v>
      </c>
      <c r="J19" s="76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76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76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</f>
        <v>434348.76</v>
      </c>
      <c r="I22" s="42">
        <f t="shared" si="0"/>
        <v>39.04433997033575</v>
      </c>
      <c r="J22" s="76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76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76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98110+11845+14000+44592+188766.52+35049.91+36430+31810+164450.52+227765.52+17640+5257+42090</f>
        <v>917806.4700000001</v>
      </c>
      <c r="I25" s="42">
        <f t="shared" si="0"/>
        <v>59.07177704519623</v>
      </c>
      <c r="J25" s="77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18164720.669999998</v>
      </c>
      <c r="I26" s="22">
        <f>H26/D26*100</f>
        <v>21.08031182676366</v>
      </c>
      <c r="J26" s="41">
        <f>H26/(N26+O26+P26+Q26)*100</f>
        <v>59.46585280074723</v>
      </c>
      <c r="L26" s="73">
        <f>H26-(M26+N26+O26+P26+Q26)</f>
        <v>-12381752.330000002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3513313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5817756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>
        <f t="shared" si="11"/>
        <v>0</v>
      </c>
      <c r="L69" s="73">
        <f t="shared" si="8"/>
        <v>-22000</v>
      </c>
      <c r="M69" s="71"/>
      <c r="N69" s="71"/>
      <c r="O69" s="71">
        <v>22000</v>
      </c>
      <c r="P69" s="71"/>
      <c r="Q69" s="71"/>
      <c r="R69" s="71"/>
      <c r="S69" s="71"/>
      <c r="T69" s="71"/>
      <c r="U69" s="71"/>
      <c r="V69" s="71">
        <v>99000</v>
      </c>
      <c r="W69" s="71"/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>
        <f t="shared" si="11"/>
        <v>0</v>
      </c>
      <c r="L70" s="73">
        <f t="shared" si="8"/>
        <v>-12700</v>
      </c>
      <c r="M70" s="71"/>
      <c r="N70" s="71"/>
      <c r="O70" s="71">
        <v>12700</v>
      </c>
      <c r="P70" s="71"/>
      <c r="Q70" s="71"/>
      <c r="R70" s="71"/>
      <c r="S70" s="71"/>
      <c r="T70" s="71"/>
      <c r="U70" s="71"/>
      <c r="V70" s="71">
        <v>57150</v>
      </c>
      <c r="W70" s="71"/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>
        <f t="shared" si="11"/>
        <v>0</v>
      </c>
      <c r="L71" s="73">
        <f t="shared" si="8"/>
        <v>-24000</v>
      </c>
      <c r="M71" s="71"/>
      <c r="N71" s="71"/>
      <c r="O71" s="71">
        <v>24000</v>
      </c>
      <c r="P71" s="71"/>
      <c r="Q71" s="71"/>
      <c r="R71" s="71"/>
      <c r="S71" s="71"/>
      <c r="T71" s="71"/>
      <c r="U71" s="71"/>
      <c r="V71" s="71">
        <v>108000</v>
      </c>
      <c r="W71" s="71"/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22"/>
      <c r="I72" s="44">
        <f t="shared" si="10"/>
        <v>0</v>
      </c>
      <c r="J72" s="63">
        <f t="shared" si="11"/>
        <v>0</v>
      </c>
      <c r="L72" s="73">
        <f t="shared" si="8"/>
        <v>-119000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>
        <f t="shared" si="11"/>
        <v>0</v>
      </c>
      <c r="L74" s="73">
        <f t="shared" si="8"/>
        <v>-11600</v>
      </c>
      <c r="M74" s="71"/>
      <c r="N74" s="71"/>
      <c r="O74" s="71">
        <v>11600</v>
      </c>
      <c r="P74" s="71"/>
      <c r="Q74" s="71"/>
      <c r="R74" s="71"/>
      <c r="S74" s="71"/>
      <c r="T74" s="71"/>
      <c r="U74" s="71"/>
      <c r="V74" s="71">
        <v>81200</v>
      </c>
      <c r="W74" s="71"/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>
        <f t="shared" si="11"/>
        <v>0</v>
      </c>
      <c r="L75" s="73">
        <f t="shared" si="8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52200</v>
      </c>
      <c r="W75" s="71"/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>
        <f t="shared" si="11"/>
        <v>0</v>
      </c>
      <c r="L76" s="73">
        <f t="shared" si="8"/>
        <v>-5000</v>
      </c>
      <c r="M76" s="71"/>
      <c r="N76" s="71"/>
      <c r="O76" s="71">
        <v>5000</v>
      </c>
      <c r="P76" s="71"/>
      <c r="Q76" s="71"/>
      <c r="R76" s="71"/>
      <c r="S76" s="71"/>
      <c r="T76" s="71"/>
      <c r="U76" s="71"/>
      <c r="V76" s="71">
        <v>35000</v>
      </c>
      <c r="W76" s="71"/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>
        <f t="shared" si="11"/>
        <v>0</v>
      </c>
      <c r="L77" s="73">
        <f t="shared" si="8"/>
        <v>-11600</v>
      </c>
      <c r="M77" s="71"/>
      <c r="N77" s="71"/>
      <c r="O77" s="71">
        <v>11600</v>
      </c>
      <c r="P77" s="71"/>
      <c r="Q77" s="71"/>
      <c r="R77" s="71"/>
      <c r="S77" s="71"/>
      <c r="T77" s="71"/>
      <c r="U77" s="71"/>
      <c r="V77" s="71">
        <v>81200</v>
      </c>
      <c r="W77" s="71"/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>
        <f t="shared" si="11"/>
        <v>0</v>
      </c>
      <c r="L78" s="73">
        <f t="shared" si="8"/>
        <v>-26300</v>
      </c>
      <c r="M78" s="71"/>
      <c r="N78" s="71"/>
      <c r="O78" s="71">
        <v>26300</v>
      </c>
      <c r="P78" s="71"/>
      <c r="Q78" s="71"/>
      <c r="R78" s="71"/>
      <c r="S78" s="71"/>
      <c r="T78" s="71"/>
      <c r="U78" s="71"/>
      <c r="V78" s="71">
        <v>184100</v>
      </c>
      <c r="W78" s="71"/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>
        <f t="shared" si="11"/>
        <v>0</v>
      </c>
      <c r="L79" s="73">
        <f t="shared" si="8"/>
        <v>-11800</v>
      </c>
      <c r="M79" s="71"/>
      <c r="N79" s="71"/>
      <c r="O79" s="71">
        <v>11800</v>
      </c>
      <c r="P79" s="71"/>
      <c r="Q79" s="71"/>
      <c r="R79" s="71"/>
      <c r="S79" s="71"/>
      <c r="T79" s="71"/>
      <c r="U79" s="71"/>
      <c r="V79" s="71">
        <v>82600</v>
      </c>
      <c r="W79" s="71"/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>
        <f t="shared" si="11"/>
        <v>0</v>
      </c>
      <c r="L80" s="73">
        <f t="shared" si="8"/>
        <v>-23200</v>
      </c>
      <c r="M80" s="71"/>
      <c r="N80" s="71"/>
      <c r="O80" s="71">
        <v>23200</v>
      </c>
      <c r="P80" s="71"/>
      <c r="Q80" s="71"/>
      <c r="R80" s="71"/>
      <c r="S80" s="71"/>
      <c r="T80" s="71"/>
      <c r="U80" s="71"/>
      <c r="V80" s="71">
        <v>162400</v>
      </c>
      <c r="W80" s="71"/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>
        <f t="shared" si="11"/>
        <v>0</v>
      </c>
      <c r="L81" s="73">
        <f t="shared" si="8"/>
        <v>-15000</v>
      </c>
      <c r="M81" s="71"/>
      <c r="N81" s="71"/>
      <c r="O81" s="71">
        <v>15000</v>
      </c>
      <c r="P81" s="71"/>
      <c r="Q81" s="71"/>
      <c r="R81" s="71"/>
      <c r="S81" s="71"/>
      <c r="T81" s="71"/>
      <c r="U81" s="71"/>
      <c r="V81" s="71">
        <v>105000</v>
      </c>
      <c r="W81" s="71"/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>
        <f t="shared" si="11"/>
        <v>0</v>
      </c>
      <c r="L82" s="73">
        <f t="shared" si="8"/>
        <v>-35000</v>
      </c>
      <c r="M82" s="71"/>
      <c r="N82" s="71"/>
      <c r="O82" s="71">
        <v>35000</v>
      </c>
      <c r="P82" s="71"/>
      <c r="Q82" s="71"/>
      <c r="R82" s="71"/>
      <c r="S82" s="71"/>
      <c r="T82" s="71"/>
      <c r="U82" s="71"/>
      <c r="V82" s="71">
        <v>157500</v>
      </c>
      <c r="W82" s="71"/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>
        <f t="shared" si="11"/>
        <v>0</v>
      </c>
      <c r="L83" s="73">
        <f t="shared" si="8"/>
        <v>-13000</v>
      </c>
      <c r="M83" s="71"/>
      <c r="N83" s="71"/>
      <c r="O83" s="71">
        <v>13000</v>
      </c>
      <c r="P83" s="71"/>
      <c r="Q83" s="71"/>
      <c r="R83" s="71"/>
      <c r="S83" s="71"/>
      <c r="T83" s="71"/>
      <c r="U83" s="71"/>
      <c r="V83" s="71">
        <v>91000</v>
      </c>
      <c r="W83" s="71"/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8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>
        <f t="shared" si="11"/>
        <v>0</v>
      </c>
      <c r="L85" s="73">
        <f t="shared" si="8"/>
        <v>-13300</v>
      </c>
      <c r="M85" s="71"/>
      <c r="N85" s="71"/>
      <c r="O85" s="71">
        <v>13300</v>
      </c>
      <c r="P85" s="71"/>
      <c r="Q85" s="71"/>
      <c r="R85" s="71"/>
      <c r="S85" s="71"/>
      <c r="T85" s="71"/>
      <c r="U85" s="71"/>
      <c r="V85" s="71">
        <v>93100</v>
      </c>
      <c r="W85" s="71"/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>
        <f t="shared" si="11"/>
        <v>0</v>
      </c>
      <c r="L86" s="73">
        <f t="shared" si="8"/>
        <v>-11600</v>
      </c>
      <c r="M86" s="71"/>
      <c r="N86" s="71"/>
      <c r="O86" s="71">
        <v>11600</v>
      </c>
      <c r="P86" s="71"/>
      <c r="Q86" s="71"/>
      <c r="R86" s="71"/>
      <c r="S86" s="71"/>
      <c r="T86" s="71"/>
      <c r="U86" s="71"/>
      <c r="V86" s="71">
        <v>81200</v>
      </c>
      <c r="W86" s="71"/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4">
        <f>35460.63</f>
        <v>35460.63</v>
      </c>
      <c r="I87" s="42">
        <f>H87/D87*100</f>
        <v>9.000159898477158</v>
      </c>
      <c r="J87" s="63">
        <f t="shared" si="11"/>
        <v>90.00159898477158</v>
      </c>
      <c r="L87" s="73">
        <f t="shared" si="8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>
        <f t="shared" si="11"/>
        <v>0</v>
      </c>
      <c r="L88" s="73">
        <f t="shared" si="8"/>
        <v>-18000</v>
      </c>
      <c r="M88" s="71"/>
      <c r="N88" s="71"/>
      <c r="O88" s="71">
        <v>18000</v>
      </c>
      <c r="P88" s="71"/>
      <c r="Q88" s="71"/>
      <c r="R88" s="71"/>
      <c r="S88" s="71"/>
      <c r="T88" s="71"/>
      <c r="U88" s="71"/>
      <c r="V88" s="71">
        <v>126000</v>
      </c>
      <c r="W88" s="71"/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>
        <f t="shared" si="11"/>
        <v>0</v>
      </c>
      <c r="L89" s="73">
        <f t="shared" si="8"/>
        <v>-10600</v>
      </c>
      <c r="M89" s="71"/>
      <c r="N89" s="71"/>
      <c r="O89" s="71">
        <v>10600</v>
      </c>
      <c r="P89" s="71"/>
      <c r="Q89" s="71"/>
      <c r="R89" s="71"/>
      <c r="S89" s="71"/>
      <c r="T89" s="71"/>
      <c r="U89" s="71"/>
      <c r="V89" s="71">
        <v>74200</v>
      </c>
      <c r="W89" s="71"/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>
        <f t="shared" si="11"/>
        <v>0</v>
      </c>
      <c r="L90" s="73">
        <f t="shared" si="8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7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>
        <f t="shared" si="16"/>
        <v>0</v>
      </c>
      <c r="L94" s="73">
        <f t="shared" si="14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>
        <f t="shared" si="16"/>
        <v>0</v>
      </c>
      <c r="L96" s="73">
        <f t="shared" si="14"/>
        <v>-58000</v>
      </c>
      <c r="M96" s="71"/>
      <c r="N96" s="71"/>
      <c r="O96" s="71">
        <v>58000</v>
      </c>
      <c r="P96" s="71"/>
      <c r="Q96" s="71"/>
      <c r="R96" s="71"/>
      <c r="S96" s="71"/>
      <c r="T96" s="71"/>
      <c r="U96" s="71">
        <v>406000</v>
      </c>
      <c r="V96" s="71"/>
      <c r="W96" s="71">
        <v>116000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>
        <f t="shared" si="16"/>
        <v>0</v>
      </c>
      <c r="L97" s="73">
        <f t="shared" si="14"/>
        <v>-13300</v>
      </c>
      <c r="M97" s="71"/>
      <c r="N97" s="71"/>
      <c r="O97" s="71">
        <v>13300</v>
      </c>
      <c r="P97" s="71"/>
      <c r="Q97" s="71"/>
      <c r="R97" s="71"/>
      <c r="S97" s="71"/>
      <c r="T97" s="71"/>
      <c r="U97" s="71">
        <v>93100</v>
      </c>
      <c r="V97" s="71"/>
      <c r="W97" s="71">
        <v>26600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>
        <f t="shared" si="16"/>
        <v>0</v>
      </c>
      <c r="L98" s="73">
        <f t="shared" si="14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>
        <f t="shared" si="16"/>
        <v>0</v>
      </c>
      <c r="L99" s="73">
        <f t="shared" si="14"/>
        <v>-23200</v>
      </c>
      <c r="M99" s="71"/>
      <c r="N99" s="71"/>
      <c r="O99" s="71">
        <v>23200</v>
      </c>
      <c r="P99" s="71"/>
      <c r="Q99" s="71"/>
      <c r="R99" s="71"/>
      <c r="S99" s="71"/>
      <c r="T99" s="71"/>
      <c r="U99" s="71">
        <v>162400</v>
      </c>
      <c r="V99" s="71"/>
      <c r="W99" s="71">
        <v>46400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>
        <f t="shared" si="16"/>
        <v>0</v>
      </c>
      <c r="L100" s="73">
        <f t="shared" si="14"/>
        <v>-13300</v>
      </c>
      <c r="M100" s="71"/>
      <c r="N100" s="71"/>
      <c r="O100" s="71">
        <v>13300</v>
      </c>
      <c r="P100" s="71"/>
      <c r="Q100" s="71"/>
      <c r="R100" s="71"/>
      <c r="S100" s="71"/>
      <c r="T100" s="71"/>
      <c r="U100" s="71">
        <v>93100</v>
      </c>
      <c r="V100" s="71"/>
      <c r="W100" s="71">
        <v>26600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97.84882463649268</v>
      </c>
      <c r="L101" s="73">
        <f t="shared" si="14"/>
        <v>-10047</v>
      </c>
      <c r="M101" s="71"/>
      <c r="N101" s="71"/>
      <c r="O101" s="71">
        <v>76700</v>
      </c>
      <c r="P101" s="71">
        <f>390347</f>
        <v>390347</v>
      </c>
      <c r="Q101" s="71"/>
      <c r="R101" s="71"/>
      <c r="S101" s="71"/>
      <c r="T101" s="71"/>
      <c r="U101" s="71">
        <f>69819</f>
        <v>69819</v>
      </c>
      <c r="V101" s="71"/>
      <c r="W101" s="71">
        <f>78234</f>
        <v>78234</v>
      </c>
      <c r="X101" s="71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</f>
        <v>408000</v>
      </c>
      <c r="I102" s="42">
        <f t="shared" si="15"/>
        <v>41.67517875383044</v>
      </c>
      <c r="J102" s="50">
        <f t="shared" si="16"/>
        <v>89.1024241100677</v>
      </c>
      <c r="L102" s="73">
        <f t="shared" si="14"/>
        <v>-49900</v>
      </c>
      <c r="M102" s="71"/>
      <c r="N102" s="71"/>
      <c r="O102" s="71">
        <v>97900</v>
      </c>
      <c r="P102" s="71">
        <f>360000</f>
        <v>360000</v>
      </c>
      <c r="Q102" s="71"/>
      <c r="R102" s="71"/>
      <c r="S102" s="71"/>
      <c r="T102" s="71"/>
      <c r="U102" s="71">
        <f>685300-360000</f>
        <v>325300</v>
      </c>
      <c r="V102" s="71"/>
      <c r="W102" s="71">
        <v>195800</v>
      </c>
      <c r="X102" s="71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-493000</v>
      </c>
      <c r="M103" s="71"/>
      <c r="N103" s="71"/>
      <c r="O103" s="71">
        <v>56000</v>
      </c>
      <c r="P103" s="71">
        <f>437000</f>
        <v>437000</v>
      </c>
      <c r="Q103" s="71"/>
      <c r="R103" s="71"/>
      <c r="S103" s="71"/>
      <c r="T103" s="71"/>
      <c r="U103" s="71"/>
      <c r="V103" s="71"/>
      <c r="W103" s="71">
        <v>0</v>
      </c>
      <c r="X103" s="71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/>
      <c r="I106" s="44">
        <f t="shared" si="15"/>
        <v>0</v>
      </c>
      <c r="J106" s="63">
        <f t="shared" si="16"/>
        <v>0</v>
      </c>
      <c r="L106" s="73">
        <f t="shared" si="14"/>
        <v>-203400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</f>
        <v>2274212.82</v>
      </c>
      <c r="I107" s="42">
        <f t="shared" si="15"/>
        <v>64.95894944301628</v>
      </c>
      <c r="J107" s="50">
        <f t="shared" si="16"/>
        <v>64.95894944301628</v>
      </c>
      <c r="L107" s="73">
        <f t="shared" si="14"/>
        <v>-1226787.1800000002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</f>
        <v>59000</v>
      </c>
      <c r="I108" s="42">
        <f t="shared" si="15"/>
        <v>4.008152173913043</v>
      </c>
      <c r="J108" s="50">
        <f t="shared" si="16"/>
        <v>4.008152173913043</v>
      </c>
      <c r="L108" s="73">
        <f t="shared" si="14"/>
        <v>-1413000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</f>
        <v>2533359</v>
      </c>
      <c r="I116" s="42">
        <f t="shared" si="15"/>
        <v>48.65804083584704</v>
      </c>
      <c r="J116" s="50">
        <f t="shared" si="16"/>
        <v>48.65804083584704</v>
      </c>
      <c r="L116" s="73">
        <f t="shared" si="14"/>
        <v>-2673096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</f>
        <v>714373.72</v>
      </c>
      <c r="I128" s="42">
        <f t="shared" si="15"/>
        <v>6.1663678895123</v>
      </c>
      <c r="J128" s="50">
        <f t="shared" si="16"/>
        <v>39.234639353725036</v>
      </c>
      <c r="L128" s="73">
        <f t="shared" si="14"/>
        <v>-1106399.28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89" t="s">
        <v>48</v>
      </c>
      <c r="B138" s="89"/>
      <c r="C138" s="89"/>
      <c r="D138" s="89"/>
      <c r="E138" s="89"/>
      <c r="F138" s="89"/>
      <c r="G138" s="89"/>
      <c r="H138" s="89"/>
      <c r="I138" s="89"/>
      <c r="J138" s="89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39798770.46</v>
      </c>
      <c r="I139" s="40">
        <f>H139/D139*100</f>
        <v>28.14583277464251</v>
      </c>
      <c r="J139" s="40">
        <f>H139/(N139+O139+P139+Q139)*100</f>
        <v>80.01249123641645</v>
      </c>
      <c r="K139" s="37"/>
      <c r="L139" s="73">
        <f>H139-(M139+N139+O139+P139+Q139)</f>
        <v>-9941926.079999998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39798770.46</v>
      </c>
      <c r="I140" s="60">
        <f>H140/D140*100</f>
        <v>28.14583277464251</v>
      </c>
      <c r="J140" s="74">
        <f>H140/(N139+O139+P139+Q139)*100</f>
        <v>80.01249123641645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 t="e">
        <f t="shared" si="25"/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/>
      <c r="I145" s="42"/>
      <c r="J145" s="63" t="e">
        <f t="shared" si="25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>
        <v>250000</v>
      </c>
      <c r="X145" s="55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3300000+3111386.39+40091.81</f>
        <v>6451478.2</v>
      </c>
      <c r="I147" s="50">
        <f>H147/G147*100</f>
        <v>75.01718837209303</v>
      </c>
      <c r="J147" s="63">
        <f t="shared" si="25"/>
        <v>195.4993393939394</v>
      </c>
      <c r="L147" s="73">
        <f t="shared" si="26"/>
        <v>3151478.2</v>
      </c>
      <c r="M147" s="55"/>
      <c r="N147" s="55"/>
      <c r="O147" s="55">
        <f>4300000-1000000</f>
        <v>3300000</v>
      </c>
      <c r="P147" s="55"/>
      <c r="Q147" s="55"/>
      <c r="R147" s="55"/>
      <c r="S147" s="55">
        <v>2000000</v>
      </c>
      <c r="T147" s="55">
        <f>2300000+1000000</f>
        <v>3300000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</f>
        <v>19206065.63</v>
      </c>
      <c r="I156" s="50">
        <f>H156/G156*100</f>
        <v>51.908285486486484</v>
      </c>
      <c r="J156" s="50">
        <f t="shared" si="25"/>
        <v>68.86486179386507</v>
      </c>
      <c r="L156" s="73">
        <f t="shared" si="26"/>
        <v>-8683434.370000001</v>
      </c>
      <c r="M156" s="55"/>
      <c r="N156" s="55"/>
      <c r="O156" s="55">
        <v>13483000</v>
      </c>
      <c r="P156" s="55">
        <f>14406500</f>
        <v>14406500</v>
      </c>
      <c r="Q156" s="55"/>
      <c r="R156" s="55"/>
      <c r="S156" s="55">
        <f>6750000-700000-3000000-2700000</f>
        <v>350000</v>
      </c>
      <c r="T156" s="55">
        <f>6750000+17000</f>
        <v>6767000</v>
      </c>
      <c r="U156" s="55"/>
      <c r="V156" s="55">
        <f>1833500</f>
        <v>1833500</v>
      </c>
      <c r="W156" s="55"/>
      <c r="X156" s="55">
        <f>160000</f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52.176024</v>
      </c>
      <c r="L158" s="73">
        <f t="shared" si="26"/>
        <v>-1195599.4</v>
      </c>
      <c r="M158" s="55"/>
      <c r="N158" s="55">
        <v>1600000</v>
      </c>
      <c r="O158" s="55">
        <f>1600000-700000</f>
        <v>900000</v>
      </c>
      <c r="P158" s="55"/>
      <c r="Q158" s="55"/>
      <c r="R158" s="55"/>
      <c r="S158" s="55">
        <f>700000</f>
        <v>700000</v>
      </c>
      <c r="T158" s="55"/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</f>
        <v>2455.85</v>
      </c>
      <c r="I165" s="50">
        <f>H165/G165*100</f>
        <v>0.07441969696969697</v>
      </c>
      <c r="J165" s="50">
        <f t="shared" si="25"/>
        <v>0.24497256857855362</v>
      </c>
      <c r="L165" s="73">
        <f t="shared" si="26"/>
        <v>-1000044.15</v>
      </c>
      <c r="M165" s="55"/>
      <c r="N165" s="55"/>
      <c r="O165" s="55">
        <f>2500</f>
        <v>2500</v>
      </c>
      <c r="P165" s="55"/>
      <c r="Q165" s="55">
        <v>1000000</v>
      </c>
      <c r="R165" s="55"/>
      <c r="S165" s="55"/>
      <c r="T165" s="55">
        <f>2300000-2500</f>
        <v>2297500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3.037497944078947</v>
      </c>
      <c r="L166" s="73">
        <f t="shared" si="26"/>
        <v>-1414876.83</v>
      </c>
      <c r="M166" s="55"/>
      <c r="N166" s="55"/>
      <c r="O166" s="55"/>
      <c r="P166" s="55">
        <f>3300000-1460000-1710000</f>
        <v>130000</v>
      </c>
      <c r="Q166" s="55">
        <v>1329200</v>
      </c>
      <c r="R166" s="55">
        <v>2379528.46</v>
      </c>
      <c r="S166" s="55">
        <f>330800+1460000+1710000</f>
        <v>3500800</v>
      </c>
      <c r="T166" s="55">
        <v>1991271.54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4351772.44+7541</f>
        <v>4359313.44</v>
      </c>
      <c r="I167" s="50">
        <f>H167/G167*100</f>
        <v>24.218408000000004</v>
      </c>
      <c r="J167" s="50">
        <f t="shared" si="25"/>
        <v>100.10199841623802</v>
      </c>
      <c r="L167" s="73">
        <f t="shared" si="26"/>
        <v>4441.9000000003725</v>
      </c>
      <c r="M167" s="55"/>
      <c r="N167" s="55"/>
      <c r="O167" s="55">
        <v>5644871.54</v>
      </c>
      <c r="P167" s="55">
        <f>-3000000+1710000</f>
        <v>-1290000</v>
      </c>
      <c r="Q167" s="55"/>
      <c r="R167" s="55"/>
      <c r="S167" s="55">
        <f>3355128.46+3000000-1710000</f>
        <v>4645128.46</v>
      </c>
      <c r="T167" s="55"/>
      <c r="U167" s="55"/>
      <c r="V167" s="55">
        <v>3000000</v>
      </c>
      <c r="W167" s="55">
        <v>3000000</v>
      </c>
      <c r="X167" s="55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100</v>
      </c>
      <c r="L168" s="73">
        <f t="shared" si="26"/>
        <v>0</v>
      </c>
      <c r="M168" s="55"/>
      <c r="N168" s="55"/>
      <c r="O168" s="55">
        <f>3875000</f>
        <v>3875000</v>
      </c>
      <c r="P168" s="55"/>
      <c r="Q168" s="55"/>
      <c r="R168" s="55"/>
      <c r="S168" s="55">
        <f>2091666.54-2091666.54</f>
        <v>0</v>
      </c>
      <c r="T168" s="55">
        <f>1908333.46-1783333.46</f>
        <v>125000</v>
      </c>
      <c r="U168" s="55"/>
      <c r="V168" s="55"/>
      <c r="W168" s="55">
        <v>2000000</v>
      </c>
      <c r="X168" s="55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 t="e">
        <f t="shared" si="25"/>
        <v>#DIV/0!</v>
      </c>
      <c r="L169" s="73">
        <f t="shared" si="26"/>
        <v>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500000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72343232.19999999</v>
      </c>
      <c r="I172" s="40">
        <f>H172/D172*100</f>
        <v>24.83375121387386</v>
      </c>
      <c r="J172" s="46">
        <f>H172/(M172+N172+O172+P172+Q172)*100</f>
        <v>70.5828015462077</v>
      </c>
      <c r="L172" s="73">
        <f t="shared" si="26"/>
        <v>-30150903.220000014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14092513</v>
      </c>
      <c r="R172" s="55">
        <f t="shared" si="31"/>
        <v>14866028.46</v>
      </c>
      <c r="S172" s="55">
        <f t="shared" si="31"/>
        <v>29804807</v>
      </c>
      <c r="T172" s="55">
        <f t="shared" si="31"/>
        <v>38212215.120000005</v>
      </c>
      <c r="U172" s="55">
        <f t="shared" si="31"/>
        <v>21496889</v>
      </c>
      <c r="V172" s="55">
        <f t="shared" si="31"/>
        <v>28346727</v>
      </c>
      <c r="W172" s="55">
        <f t="shared" si="31"/>
        <v>26271996</v>
      </c>
      <c r="X172" s="55">
        <f t="shared" si="31"/>
        <v>29817329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J18:J25"/>
    <mergeCell ref="F5:F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2017-05-15T14:09:08Z</dcterms:modified>
  <cp:category/>
  <cp:version/>
  <cp:contentType/>
  <cp:contentStatus/>
</cp:coreProperties>
</file>